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8475"/>
  </bookViews>
  <sheets>
    <sheet name="Folha1" sheetId="1" r:id="rId1"/>
    <sheet name="Folha2" sheetId="2" r:id="rId2"/>
    <sheet name="Folha3" sheetId="3" r:id="rId3"/>
  </sheets>
  <calcPr calcId="124519"/>
</workbook>
</file>

<file path=xl/calcChain.xml><?xml version="1.0" encoding="utf-8"?>
<calcChain xmlns="http://schemas.openxmlformats.org/spreadsheetml/2006/main">
  <c r="C84" i="1"/>
  <c r="C82"/>
  <c r="D109"/>
  <c r="C105"/>
  <c r="C104"/>
  <c r="C78"/>
  <c r="C4"/>
  <c r="H124"/>
  <c r="C116"/>
  <c r="C113"/>
  <c r="C114" s="1"/>
  <c r="C108"/>
  <c r="C96"/>
  <c r="C107"/>
  <c r="C109" s="1"/>
  <c r="C102"/>
  <c r="C103" s="1"/>
  <c r="C98"/>
  <c r="C99" s="1"/>
  <c r="C100" s="1"/>
  <c r="C94"/>
  <c r="C95" s="1"/>
  <c r="C27"/>
  <c r="C28" s="1"/>
  <c r="C25"/>
  <c r="C30" s="1"/>
  <c r="C23"/>
  <c r="F73"/>
  <c r="C62"/>
  <c r="C63" s="1"/>
  <c r="C60"/>
  <c r="C61" s="1"/>
  <c r="F43"/>
  <c r="E43"/>
  <c r="D43"/>
  <c r="C43"/>
  <c r="C48" s="1"/>
  <c r="C49" s="1"/>
  <c r="C51" s="1"/>
  <c r="C6"/>
  <c r="C76"/>
  <c r="F74"/>
  <c r="E74"/>
  <c r="D74"/>
  <c r="F36"/>
  <c r="F37" s="1"/>
  <c r="E36"/>
  <c r="E37" s="1"/>
  <c r="D36"/>
  <c r="C118" l="1"/>
  <c r="C119"/>
  <c r="C26"/>
  <c r="C64"/>
  <c r="C16"/>
  <c r="C9"/>
  <c r="E75"/>
  <c r="E76" s="1"/>
  <c r="D75"/>
  <c r="D76" s="1"/>
  <c r="F75"/>
  <c r="F76" s="1"/>
  <c r="F47"/>
  <c r="D48"/>
  <c r="F48"/>
  <c r="E48"/>
  <c r="E38"/>
  <c r="E39" s="1"/>
  <c r="E40" s="1"/>
  <c r="F38"/>
  <c r="F39" s="1"/>
  <c r="F40" s="1"/>
  <c r="D37"/>
  <c r="D119" l="1"/>
  <c r="C121"/>
  <c r="C122" s="1"/>
  <c r="C10"/>
  <c r="C13" s="1"/>
  <c r="C14" s="1"/>
  <c r="D49"/>
  <c r="F49"/>
  <c r="F51" s="1"/>
  <c r="E49"/>
  <c r="E51" s="1"/>
  <c r="D38"/>
  <c r="D39" s="1"/>
  <c r="D40" s="1"/>
  <c r="D51" l="1"/>
  <c r="C68" l="1"/>
  <c r="C80" s="1"/>
  <c r="C66"/>
  <c r="C83" s="1"/>
</calcChain>
</file>

<file path=xl/sharedStrings.xml><?xml version="1.0" encoding="utf-8"?>
<sst xmlns="http://schemas.openxmlformats.org/spreadsheetml/2006/main" count="103" uniqueCount="79">
  <si>
    <t>r(s.a.)</t>
  </si>
  <si>
    <t>Loan</t>
  </si>
  <si>
    <t>Installment</t>
  </si>
  <si>
    <t>a)</t>
  </si>
  <si>
    <t>b)</t>
  </si>
  <si>
    <t>1st installment</t>
  </si>
  <si>
    <t>Interest</t>
  </si>
  <si>
    <t>Reimbursement</t>
  </si>
  <si>
    <t>c)</t>
  </si>
  <si>
    <t>COGS</t>
  </si>
  <si>
    <t>Revenues</t>
  </si>
  <si>
    <t>Investment</t>
  </si>
  <si>
    <t>Depreciation</t>
  </si>
  <si>
    <t>Salvage value</t>
  </si>
  <si>
    <t>EBIT</t>
  </si>
  <si>
    <t>Taxes</t>
  </si>
  <si>
    <t>Net income</t>
  </si>
  <si>
    <t>Operacional CF</t>
  </si>
  <si>
    <t>Taxes on capital gain</t>
  </si>
  <si>
    <t>NWC</t>
  </si>
  <si>
    <t>Change in NWC</t>
  </si>
  <si>
    <t>Investment CF</t>
  </si>
  <si>
    <t>Free CF</t>
  </si>
  <si>
    <t>rf</t>
  </si>
  <si>
    <t>E[rM]-rf</t>
  </si>
  <si>
    <t>NPV all-equity</t>
  </si>
  <si>
    <t>Financing CF</t>
  </si>
  <si>
    <t>NPVF</t>
  </si>
  <si>
    <t>APV</t>
  </si>
  <si>
    <t>d)</t>
  </si>
  <si>
    <t>r0-1</t>
  </si>
  <si>
    <t>r0-2</t>
  </si>
  <si>
    <t>f1-2</t>
  </si>
  <si>
    <t>Expected return</t>
  </si>
  <si>
    <t>Standard deviation</t>
  </si>
  <si>
    <t>Beta</t>
  </si>
  <si>
    <t>Stock A</t>
  </si>
  <si>
    <t>?</t>
  </si>
  <si>
    <t>Market portfolio</t>
  </si>
  <si>
    <t>T-bill</t>
  </si>
  <si>
    <t>Beta A</t>
  </si>
  <si>
    <t>Beta portfolio</t>
  </si>
  <si>
    <t>W (market portfolio)</t>
  </si>
  <si>
    <t>W (risk free)</t>
  </si>
  <si>
    <t>Equity</t>
  </si>
  <si>
    <t>Debt</t>
  </si>
  <si>
    <t>Loan's interest rate</t>
  </si>
  <si>
    <t>Tax shield</t>
  </si>
  <si>
    <t>r month</t>
  </si>
  <si>
    <t>2nd installment</t>
  </si>
  <si>
    <t>Company rD</t>
  </si>
  <si>
    <t>Company unlevered beta</t>
  </si>
  <si>
    <t>Company D/E</t>
  </si>
  <si>
    <t>Company rU</t>
  </si>
  <si>
    <t>Company rE</t>
  </si>
  <si>
    <t>Company WACC</t>
  </si>
  <si>
    <t>Company D/D+E</t>
  </si>
  <si>
    <t>Company E/D+E</t>
  </si>
  <si>
    <r>
      <t>EACF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</si>
  <si>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EACF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</si>
  <si>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f2-3</t>
  </si>
  <si>
    <t>r0-3</t>
  </si>
  <si>
    <t>Price today</t>
  </si>
  <si>
    <t>Price one year from today</t>
  </si>
  <si>
    <t>f1-3</t>
  </si>
  <si>
    <t>Coupon rate</t>
  </si>
  <si>
    <t>Sharpe ratio</t>
  </si>
  <si>
    <t>Price without growth</t>
  </si>
  <si>
    <t>NPVGO</t>
  </si>
  <si>
    <t>Price with project</t>
  </si>
  <si>
    <t>PVTS</t>
  </si>
  <si>
    <t>valores</t>
  </si>
  <si>
    <t>Choose project 2</t>
  </si>
  <si>
    <t>Price per share</t>
  </si>
  <si>
    <t>rE</t>
  </si>
  <si>
    <t>WACC</t>
  </si>
  <si>
    <t>Valores</t>
  </si>
  <si>
    <r>
      <t>NPV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</si>
  <si>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NPV </t>
  </si>
</sst>
</file>

<file path=xl/styles.xml><?xml version="1.0" encoding="utf-8"?>
<styleSheet xmlns="http://schemas.openxmlformats.org/spreadsheetml/2006/main">
  <numFmts count="7">
    <numFmt numFmtId="164" formatCode="0.0%"/>
    <numFmt numFmtId="165" formatCode="#,##0.00;\-#,##0.00;\-"/>
    <numFmt numFmtId="166" formatCode="#,##0.00_ ;\-#,##0.00\ "/>
    <numFmt numFmtId="167" formatCode="#,##0.000;\-#,##0.000;\-"/>
    <numFmt numFmtId="168" formatCode="0.000%"/>
    <numFmt numFmtId="169" formatCode="0.000"/>
    <numFmt numFmtId="170" formatCode="0.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166" fontId="2" fillId="0" borderId="0" xfId="0" applyNumberFormat="1" applyFont="1"/>
    <xf numFmtId="0" fontId="0" fillId="0" borderId="0" xfId="0" applyAlignment="1">
      <alignment horizontal="center" vertical="center"/>
    </xf>
    <xf numFmtId="0" fontId="0" fillId="0" borderId="1" xfId="0" applyBorder="1"/>
    <xf numFmtId="165" fontId="0" fillId="0" borderId="1" xfId="0" applyNumberFormat="1" applyBorder="1" applyAlignment="1">
      <alignment horizontal="right"/>
    </xf>
    <xf numFmtId="0" fontId="0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2" borderId="0" xfId="0" applyFont="1" applyFill="1"/>
    <xf numFmtId="0" fontId="0" fillId="2" borderId="0" xfId="0" applyFill="1"/>
    <xf numFmtId="167" fontId="0" fillId="0" borderId="0" xfId="0" applyNumberFormat="1" applyAlignment="1">
      <alignment horizontal="right"/>
    </xf>
    <xf numFmtId="10" fontId="2" fillId="0" borderId="0" xfId="0" applyNumberFormat="1" applyFont="1"/>
    <xf numFmtId="10" fontId="2" fillId="0" borderId="0" xfId="1" applyNumberFormat="1" applyFont="1"/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9" fontId="2" fillId="0" borderId="0" xfId="1" applyFont="1"/>
    <xf numFmtId="0" fontId="2" fillId="0" borderId="0" xfId="0" applyFont="1" applyFill="1" applyAlignment="1">
      <alignment horizontal="right" vertical="center"/>
    </xf>
    <xf numFmtId="0" fontId="0" fillId="0" borderId="0" xfId="0" applyFill="1"/>
    <xf numFmtId="0" fontId="2" fillId="0" borderId="0" xfId="0" applyFont="1" applyFill="1"/>
    <xf numFmtId="165" fontId="2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/>
    <xf numFmtId="0" fontId="0" fillId="0" borderId="1" xfId="0" applyFill="1" applyBorder="1"/>
    <xf numFmtId="165" fontId="0" fillId="0" borderId="1" xfId="0" applyNumberFormat="1" applyFill="1" applyBorder="1"/>
    <xf numFmtId="165" fontId="0" fillId="0" borderId="0" xfId="0" applyNumberFormat="1" applyFont="1" applyFill="1" applyAlignment="1">
      <alignment horizontal="right"/>
    </xf>
    <xf numFmtId="0" fontId="0" fillId="0" borderId="0" xfId="0" applyBorder="1"/>
    <xf numFmtId="165" fontId="0" fillId="0" borderId="0" xfId="0" applyNumberFormat="1" applyBorder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0" fillId="0" borderId="0" xfId="0" applyNumberFormat="1" applyFont="1"/>
    <xf numFmtId="168" fontId="2" fillId="0" borderId="0" xfId="1" applyNumberFormat="1" applyFont="1" applyAlignment="1">
      <alignment horizontal="right"/>
    </xf>
    <xf numFmtId="169" fontId="0" fillId="0" borderId="0" xfId="0" applyNumberFormat="1" applyFont="1"/>
    <xf numFmtId="169" fontId="2" fillId="0" borderId="0" xfId="0" applyNumberFormat="1" applyFont="1"/>
    <xf numFmtId="2" fontId="2" fillId="0" borderId="0" xfId="0" applyNumberFormat="1" applyFont="1"/>
    <xf numFmtId="2" fontId="0" fillId="0" borderId="0" xfId="0" applyNumberFormat="1" applyFill="1"/>
    <xf numFmtId="2" fontId="2" fillId="0" borderId="0" xfId="0" applyNumberFormat="1" applyFont="1" applyFill="1"/>
    <xf numFmtId="170" fontId="0" fillId="0" borderId="0" xfId="0" applyNumberFormat="1"/>
    <xf numFmtId="167" fontId="2" fillId="0" borderId="0" xfId="0" applyNumberFormat="1" applyFont="1" applyAlignment="1">
      <alignment horizontal="right"/>
    </xf>
    <xf numFmtId="168" fontId="2" fillId="0" borderId="0" xfId="1" applyNumberFormat="1" applyFont="1"/>
    <xf numFmtId="0" fontId="2" fillId="0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workbookViewId="0"/>
  </sheetViews>
  <sheetFormatPr defaultRowHeight="15"/>
  <cols>
    <col min="2" max="2" width="32" bestFit="1" customWidth="1"/>
    <col min="3" max="3" width="12.42578125" bestFit="1" customWidth="1"/>
    <col min="4" max="6" width="11.7109375" bestFit="1" customWidth="1"/>
    <col min="8" max="8" width="7.7109375" bestFit="1" customWidth="1"/>
    <col min="11" max="11" width="11.7109375" bestFit="1" customWidth="1"/>
    <col min="12" max="12" width="9.5703125" bestFit="1" customWidth="1"/>
  </cols>
  <sheetData>
    <row r="1" spans="1:13" ht="15" customHeight="1">
      <c r="A1" s="15">
        <v>1</v>
      </c>
      <c r="B1" s="16"/>
      <c r="C1" s="16"/>
      <c r="D1" s="16"/>
      <c r="E1" s="16"/>
      <c r="F1" s="16"/>
      <c r="H1" s="9" t="s">
        <v>76</v>
      </c>
    </row>
    <row r="2" spans="1:13" ht="15" customHeight="1">
      <c r="A2" s="5"/>
      <c r="B2" t="s">
        <v>1</v>
      </c>
      <c r="C2" s="4">
        <v>500000</v>
      </c>
      <c r="H2" s="9"/>
    </row>
    <row r="3" spans="1:13" ht="15" customHeight="1">
      <c r="B3" t="s">
        <v>0</v>
      </c>
      <c r="C3" s="1">
        <v>0.08</v>
      </c>
      <c r="H3" s="9"/>
      <c r="K3" s="38"/>
      <c r="L3" s="38"/>
      <c r="M3" s="38"/>
    </row>
    <row r="4" spans="1:13" ht="15" customHeight="1">
      <c r="B4" t="s">
        <v>48</v>
      </c>
      <c r="C4" s="2">
        <f>+C3/12</f>
        <v>6.6666666666666671E-3</v>
      </c>
      <c r="H4" s="9"/>
      <c r="J4" s="37"/>
      <c r="K4" s="37"/>
      <c r="L4" s="37"/>
      <c r="M4" s="37"/>
    </row>
    <row r="5" spans="1:13" ht="15" customHeight="1">
      <c r="H5" s="9"/>
      <c r="J5" s="37"/>
      <c r="K5" s="37"/>
      <c r="L5" s="37"/>
      <c r="M5" s="37"/>
    </row>
    <row r="6" spans="1:13" ht="15" customHeight="1">
      <c r="A6" s="7" t="s">
        <v>3</v>
      </c>
      <c r="B6" s="5" t="s">
        <v>2</v>
      </c>
      <c r="C6" s="6">
        <f>C2*(C4/(1-(1/(1+C4))^24))</f>
        <v>22613.645728092386</v>
      </c>
      <c r="H6" s="9">
        <v>1</v>
      </c>
      <c r="J6" s="37"/>
      <c r="K6" s="37"/>
      <c r="L6" s="37"/>
      <c r="M6" s="37"/>
    </row>
    <row r="7" spans="1:13" ht="15" customHeight="1">
      <c r="H7" s="9"/>
      <c r="J7" s="37"/>
      <c r="K7" s="37"/>
      <c r="L7" s="37"/>
      <c r="M7" s="37"/>
    </row>
    <row r="8" spans="1:13" ht="15" customHeight="1">
      <c r="A8" s="7" t="s">
        <v>4</v>
      </c>
      <c r="B8" t="s">
        <v>5</v>
      </c>
      <c r="H8" s="9">
        <v>1</v>
      </c>
      <c r="J8" s="37"/>
      <c r="K8" s="37"/>
      <c r="L8" s="37"/>
      <c r="M8" s="37"/>
    </row>
    <row r="9" spans="1:13" ht="15" customHeight="1">
      <c r="B9" s="12" t="s">
        <v>6</v>
      </c>
      <c r="C9" s="39">
        <f>+C2*C4</f>
        <v>3333.3333333333335</v>
      </c>
      <c r="H9" s="9"/>
      <c r="J9" s="37"/>
      <c r="K9" s="37"/>
      <c r="L9" s="37"/>
      <c r="M9" s="37"/>
    </row>
    <row r="10" spans="1:13" ht="15" customHeight="1">
      <c r="B10" s="12" t="s">
        <v>7</v>
      </c>
      <c r="C10" s="39">
        <f>+C6-C9</f>
        <v>19280.312394759054</v>
      </c>
      <c r="H10" s="9"/>
      <c r="J10" s="37"/>
      <c r="K10" s="37"/>
      <c r="L10" s="37"/>
      <c r="M10" s="37"/>
    </row>
    <row r="11" spans="1:13" ht="15" customHeight="1">
      <c r="H11" s="9"/>
      <c r="J11" s="37"/>
      <c r="K11" s="37"/>
      <c r="L11" s="37"/>
      <c r="M11" s="37"/>
    </row>
    <row r="12" spans="1:13" ht="15" customHeight="1">
      <c r="A12" s="7"/>
      <c r="B12" t="s">
        <v>49</v>
      </c>
      <c r="H12" s="9"/>
      <c r="J12" s="37"/>
      <c r="K12" s="37"/>
      <c r="L12" s="37"/>
      <c r="M12" s="37"/>
    </row>
    <row r="13" spans="1:13" ht="15" customHeight="1">
      <c r="B13" s="5" t="s">
        <v>6</v>
      </c>
      <c r="C13" s="6">
        <f>+(C2-C10)*C4</f>
        <v>3204.7979173682734</v>
      </c>
      <c r="H13" s="9"/>
      <c r="J13" s="37"/>
      <c r="K13" s="37"/>
      <c r="L13" s="37"/>
      <c r="M13" s="37"/>
    </row>
    <row r="14" spans="1:13" ht="15" customHeight="1">
      <c r="B14" s="5" t="s">
        <v>7</v>
      </c>
      <c r="C14" s="6">
        <f>+C6-C13</f>
        <v>19408.847810724114</v>
      </c>
      <c r="H14" s="9"/>
      <c r="J14" s="37"/>
      <c r="K14" s="37"/>
      <c r="L14" s="37"/>
      <c r="M14" s="37"/>
    </row>
    <row r="15" spans="1:13" ht="15" customHeight="1">
      <c r="H15" s="9"/>
      <c r="J15" s="37"/>
      <c r="K15" s="37"/>
      <c r="L15" s="37"/>
      <c r="M15" s="37"/>
    </row>
    <row r="16" spans="1:13" ht="15" customHeight="1">
      <c r="A16" s="7" t="s">
        <v>8</v>
      </c>
      <c r="B16" s="5" t="s">
        <v>2</v>
      </c>
      <c r="C16" s="6">
        <f>+C6*(1+C4)^12</f>
        <v>24490.567170643808</v>
      </c>
      <c r="H16" s="9">
        <v>1</v>
      </c>
      <c r="J16" s="37"/>
      <c r="K16" s="37"/>
      <c r="L16" s="37"/>
      <c r="M16" s="37"/>
    </row>
    <row r="17" spans="1:13" ht="15" customHeight="1">
      <c r="H17" s="9"/>
      <c r="J17" s="37"/>
      <c r="K17" s="37"/>
      <c r="L17" s="37"/>
      <c r="M17" s="37"/>
    </row>
    <row r="18" spans="1:13" ht="15" customHeight="1">
      <c r="A18" s="15">
        <v>2</v>
      </c>
      <c r="B18" s="16"/>
      <c r="C18" s="16"/>
      <c r="D18" s="16"/>
      <c r="E18" s="16"/>
      <c r="F18" s="16"/>
      <c r="H18" s="9"/>
    </row>
    <row r="19" spans="1:13" ht="15" customHeight="1">
      <c r="B19" t="s">
        <v>30</v>
      </c>
      <c r="C19" s="41">
        <v>0.02</v>
      </c>
      <c r="F19" s="1"/>
      <c r="H19" s="9"/>
    </row>
    <row r="20" spans="1:13" ht="15" customHeight="1">
      <c r="B20" t="s">
        <v>32</v>
      </c>
      <c r="C20" s="41">
        <v>0.03</v>
      </c>
      <c r="F20" s="1"/>
      <c r="H20" s="9"/>
    </row>
    <row r="21" spans="1:13" ht="15" customHeight="1">
      <c r="B21" t="s">
        <v>60</v>
      </c>
      <c r="C21" s="41">
        <v>0.04</v>
      </c>
      <c r="F21" s="1"/>
      <c r="H21" s="9"/>
    </row>
    <row r="22" spans="1:13" ht="15" customHeight="1">
      <c r="B22" s="12"/>
      <c r="C22" s="17"/>
      <c r="F22" s="1"/>
      <c r="H22" s="9"/>
      <c r="J22" s="37"/>
      <c r="K22" s="37"/>
      <c r="L22" s="37"/>
      <c r="M22" s="37"/>
    </row>
    <row r="23" spans="1:13" ht="15" customHeight="1">
      <c r="A23" s="7" t="s">
        <v>3</v>
      </c>
      <c r="B23" s="5" t="s">
        <v>61</v>
      </c>
      <c r="C23" s="18">
        <f>+((1+C19)*(1+C20)*(1+C21))^(1/3)-1</f>
        <v>2.9967636523575703E-2</v>
      </c>
      <c r="H23" s="9">
        <v>1</v>
      </c>
      <c r="J23" s="37"/>
      <c r="K23" s="37"/>
      <c r="L23" s="37"/>
      <c r="M23" s="37"/>
    </row>
    <row r="24" spans="1:13" ht="15" customHeight="1">
      <c r="H24" s="9"/>
      <c r="J24" s="37"/>
      <c r="K24" s="37"/>
      <c r="L24" s="37"/>
      <c r="M24" s="37"/>
    </row>
    <row r="25" spans="1:13" ht="15" customHeight="1">
      <c r="A25" s="7" t="s">
        <v>4</v>
      </c>
      <c r="B25" t="s">
        <v>31</v>
      </c>
      <c r="C25" s="42">
        <f>+((1+C19)*(1+C20))^(1/2)-1</f>
        <v>2.4987804805501002E-2</v>
      </c>
      <c r="H25" s="9"/>
      <c r="J25" s="37"/>
      <c r="K25" s="37"/>
      <c r="L25" s="37"/>
      <c r="M25" s="37"/>
    </row>
    <row r="26" spans="1:13" ht="15" customHeight="1">
      <c r="A26" s="7"/>
      <c r="B26" s="5" t="s">
        <v>62</v>
      </c>
      <c r="C26" s="29">
        <f>5/(1+C19)+5/(1+C25)^2+105/(1+C23)^3</f>
        <v>105.76007848994713</v>
      </c>
      <c r="H26" s="9">
        <v>2</v>
      </c>
      <c r="J26" s="37"/>
      <c r="K26" s="37"/>
      <c r="L26" s="37"/>
      <c r="M26" s="37"/>
    </row>
    <row r="27" spans="1:13" ht="15" customHeight="1">
      <c r="A27" s="7"/>
      <c r="B27" t="s">
        <v>64</v>
      </c>
      <c r="C27" s="42">
        <f>+((1+C20)*(1+C21))^(1/2)-1</f>
        <v>3.4987922634849067E-2</v>
      </c>
      <c r="H27" s="9"/>
      <c r="J27" s="37"/>
      <c r="K27" s="37"/>
      <c r="L27" s="37"/>
      <c r="M27" s="37"/>
    </row>
    <row r="28" spans="1:13" ht="15" customHeight="1">
      <c r="A28" s="7"/>
      <c r="B28" s="5" t="s">
        <v>63</v>
      </c>
      <c r="C28" s="29">
        <f>5/(1+C20)+105/(1+C27)^2</f>
        <v>102.87528005974605</v>
      </c>
      <c r="H28" s="9"/>
      <c r="J28" s="37"/>
      <c r="K28" s="37"/>
      <c r="L28" s="37"/>
      <c r="M28" s="37"/>
    </row>
    <row r="29" spans="1:13" ht="15" customHeight="1">
      <c r="H29" s="9"/>
      <c r="J29" s="37"/>
      <c r="K29" s="37"/>
      <c r="L29" s="37"/>
      <c r="M29" s="37"/>
    </row>
    <row r="30" spans="1:13" ht="15" customHeight="1">
      <c r="A30" s="7" t="s">
        <v>8</v>
      </c>
      <c r="B30" s="5" t="s">
        <v>65</v>
      </c>
      <c r="C30" s="43">
        <f>(((1+C19)*(1+C25)^2)/((1+C19)+(1+C25)^2)*(100-100/(1+C25)^2))/100</f>
        <v>2.4926108374384127E-2</v>
      </c>
      <c r="H30" s="9">
        <v>1</v>
      </c>
      <c r="J30" s="37"/>
      <c r="K30" s="37"/>
      <c r="L30" s="37"/>
      <c r="M30" s="37"/>
    </row>
    <row r="31" spans="1:13" ht="15" customHeight="1">
      <c r="A31" s="7"/>
      <c r="B31" s="5"/>
      <c r="C31" s="6"/>
      <c r="H31" s="9"/>
      <c r="J31" s="37"/>
      <c r="K31" s="37"/>
      <c r="L31" s="37"/>
      <c r="M31" s="37"/>
    </row>
    <row r="32" spans="1:13">
      <c r="A32" s="15">
        <v>3</v>
      </c>
      <c r="B32" s="16"/>
      <c r="C32" s="16"/>
      <c r="D32" s="16"/>
      <c r="E32" s="16"/>
      <c r="F32" s="16"/>
      <c r="H32" s="9"/>
      <c r="J32" s="37"/>
      <c r="K32" s="37"/>
      <c r="L32" s="37"/>
      <c r="M32" s="37"/>
    </row>
    <row r="33" spans="1:13">
      <c r="A33" s="7" t="s">
        <v>3</v>
      </c>
      <c r="C33" s="9">
        <v>0</v>
      </c>
      <c r="D33" s="9">
        <v>1</v>
      </c>
      <c r="E33" s="9">
        <v>2</v>
      </c>
      <c r="F33" s="9">
        <v>3</v>
      </c>
      <c r="H33" s="9">
        <v>2</v>
      </c>
    </row>
    <row r="34" spans="1:13">
      <c r="B34" t="s">
        <v>10</v>
      </c>
      <c r="C34" s="4"/>
      <c r="D34" s="4">
        <v>1000000</v>
      </c>
      <c r="E34" s="4">
        <v>1500000</v>
      </c>
      <c r="F34" s="4">
        <v>1500000</v>
      </c>
      <c r="H34" s="9"/>
    </row>
    <row r="35" spans="1:13">
      <c r="B35" t="s">
        <v>9</v>
      </c>
      <c r="C35" s="4"/>
      <c r="D35" s="4">
        <v>-400000</v>
      </c>
      <c r="E35" s="4">
        <v>-800000</v>
      </c>
      <c r="F35" s="4">
        <v>-800000</v>
      </c>
      <c r="H35" s="9"/>
    </row>
    <row r="36" spans="1:13">
      <c r="B36" s="27" t="s">
        <v>12</v>
      </c>
      <c r="C36" s="27"/>
      <c r="D36" s="30">
        <f>+$C$45/3</f>
        <v>-266666.66666666669</v>
      </c>
      <c r="E36" s="30">
        <f t="shared" ref="E36:F36" si="0">+$C$45/3</f>
        <v>-266666.66666666669</v>
      </c>
      <c r="F36" s="30">
        <f t="shared" si="0"/>
        <v>-266666.66666666669</v>
      </c>
      <c r="H36" s="9"/>
    </row>
    <row r="37" spans="1:13">
      <c r="B37" s="27" t="s">
        <v>14</v>
      </c>
      <c r="C37" s="27"/>
      <c r="D37" s="31">
        <f>+SUM(D34:D36)</f>
        <v>333333.33333333331</v>
      </c>
      <c r="E37" s="31">
        <f t="shared" ref="E37:F37" si="1">+SUM(E34:E36)</f>
        <v>433333.33333333331</v>
      </c>
      <c r="F37" s="31">
        <f t="shared" si="1"/>
        <v>433333.33333333331</v>
      </c>
      <c r="H37" s="9"/>
    </row>
    <row r="38" spans="1:13">
      <c r="B38" s="27" t="s">
        <v>15</v>
      </c>
      <c r="C38" s="27"/>
      <c r="D38" s="31">
        <f>-D37*0.3</f>
        <v>-99999.999999999985</v>
      </c>
      <c r="E38" s="31">
        <f t="shared" ref="E38:F38" si="2">-E37*0.3</f>
        <v>-129999.99999999999</v>
      </c>
      <c r="F38" s="31">
        <f t="shared" si="2"/>
        <v>-129999.99999999999</v>
      </c>
      <c r="H38" s="9"/>
    </row>
    <row r="39" spans="1:13">
      <c r="B39" s="32" t="s">
        <v>16</v>
      </c>
      <c r="C39" s="32"/>
      <c r="D39" s="33">
        <f>+SUM(D37:D38)</f>
        <v>233333.33333333331</v>
      </c>
      <c r="E39" s="33">
        <f t="shared" ref="E39:F39" si="3">+SUM(E37:E38)</f>
        <v>303333.33333333331</v>
      </c>
      <c r="F39" s="33">
        <f t="shared" si="3"/>
        <v>303333.33333333331</v>
      </c>
      <c r="H39" s="9"/>
    </row>
    <row r="40" spans="1:13">
      <c r="B40" s="27" t="s">
        <v>17</v>
      </c>
      <c r="C40" s="27"/>
      <c r="D40" s="31">
        <f>+D39-D36</f>
        <v>500000</v>
      </c>
      <c r="E40" s="31">
        <f t="shared" ref="E40:F40" si="4">+E39-E36</f>
        <v>570000</v>
      </c>
      <c r="F40" s="31">
        <f t="shared" si="4"/>
        <v>570000</v>
      </c>
      <c r="H40" s="9"/>
    </row>
    <row r="41" spans="1:13">
      <c r="B41" s="27"/>
      <c r="C41" s="27"/>
      <c r="D41" s="27"/>
      <c r="E41" s="27"/>
      <c r="F41" s="27"/>
      <c r="H41" s="9"/>
    </row>
    <row r="42" spans="1:13">
      <c r="B42" s="27"/>
      <c r="C42" s="27"/>
      <c r="D42" s="27"/>
      <c r="E42" s="27"/>
      <c r="F42" s="27"/>
      <c r="H42" s="9"/>
    </row>
    <row r="43" spans="1:13">
      <c r="B43" s="27" t="s">
        <v>19</v>
      </c>
      <c r="C43" s="30">
        <f>0.1*D34</f>
        <v>100000</v>
      </c>
      <c r="D43" s="30">
        <f t="shared" ref="D43:F43" si="5">0.1*E34</f>
        <v>150000</v>
      </c>
      <c r="E43" s="30">
        <f t="shared" si="5"/>
        <v>150000</v>
      </c>
      <c r="F43" s="30">
        <f t="shared" si="5"/>
        <v>0</v>
      </c>
      <c r="H43" s="9"/>
    </row>
    <row r="44" spans="1:13">
      <c r="B44" s="27"/>
      <c r="C44" s="27"/>
      <c r="D44" s="27"/>
      <c r="E44" s="27"/>
      <c r="F44" s="27"/>
      <c r="H44" s="9"/>
    </row>
    <row r="45" spans="1:13">
      <c r="B45" s="27" t="s">
        <v>11</v>
      </c>
      <c r="C45" s="30">
        <v>-800000</v>
      </c>
      <c r="D45" s="30"/>
      <c r="E45" s="30"/>
      <c r="F45" s="30"/>
      <c r="H45" s="9"/>
      <c r="J45" s="37"/>
      <c r="K45" s="37"/>
      <c r="L45" s="37"/>
      <c r="M45" s="37"/>
    </row>
    <row r="46" spans="1:13">
      <c r="B46" s="27" t="s">
        <v>13</v>
      </c>
      <c r="C46" s="30"/>
      <c r="D46" s="30"/>
      <c r="E46" s="30"/>
      <c r="F46" s="30">
        <v>100000</v>
      </c>
      <c r="H46" s="9"/>
    </row>
    <row r="47" spans="1:13">
      <c r="B47" t="s">
        <v>18</v>
      </c>
      <c r="C47" s="4"/>
      <c r="D47" s="4"/>
      <c r="E47" s="4"/>
      <c r="F47" s="4">
        <f>-(F46-(-C45+SUM(D36:F36)))*0.3</f>
        <v>-30000</v>
      </c>
      <c r="H47" s="9"/>
    </row>
    <row r="48" spans="1:13">
      <c r="B48" s="10" t="s">
        <v>20</v>
      </c>
      <c r="C48" s="11">
        <f>+C43</f>
        <v>100000</v>
      </c>
      <c r="D48" s="11">
        <f>+D43-C43</f>
        <v>50000</v>
      </c>
      <c r="E48" s="11">
        <f t="shared" ref="E48:F48" si="6">+E43-D43</f>
        <v>0</v>
      </c>
      <c r="F48" s="11">
        <f t="shared" si="6"/>
        <v>-150000</v>
      </c>
      <c r="H48" s="9"/>
    </row>
    <row r="49" spans="2:8">
      <c r="B49" t="s">
        <v>21</v>
      </c>
      <c r="C49" s="4">
        <f>+SUM(C45:C47)-C48</f>
        <v>-900000</v>
      </c>
      <c r="D49" s="4">
        <f>+SUM(D45:D47)-D48</f>
        <v>-50000</v>
      </c>
      <c r="E49" s="4">
        <f>+SUM(E45:E47)-E48</f>
        <v>0</v>
      </c>
      <c r="F49" s="4">
        <f>+SUM(F45:F47)-F48</f>
        <v>220000</v>
      </c>
      <c r="H49" s="9"/>
    </row>
    <row r="50" spans="2:8">
      <c r="H50" s="9"/>
    </row>
    <row r="51" spans="2:8">
      <c r="B51" s="12" t="s">
        <v>22</v>
      </c>
      <c r="C51" s="34">
        <f>+C40+C49</f>
        <v>-900000</v>
      </c>
      <c r="D51" s="34">
        <f>+D40+D49</f>
        <v>450000</v>
      </c>
      <c r="E51" s="34">
        <f>+E40+E49</f>
        <v>570000</v>
      </c>
      <c r="F51" s="34">
        <f>+F40+F49</f>
        <v>790000</v>
      </c>
      <c r="H51" s="9"/>
    </row>
    <row r="52" spans="2:8">
      <c r="H52" s="9"/>
    </row>
    <row r="53" spans="2:8">
      <c r="B53" t="s">
        <v>50</v>
      </c>
      <c r="C53" s="1">
        <v>0.05</v>
      </c>
      <c r="H53" s="9"/>
    </row>
    <row r="54" spans="2:8">
      <c r="B54" t="s">
        <v>51</v>
      </c>
      <c r="C54">
        <v>1.5</v>
      </c>
      <c r="H54" s="9"/>
    </row>
    <row r="55" spans="2:8">
      <c r="B55" t="s">
        <v>52</v>
      </c>
      <c r="C55">
        <v>1</v>
      </c>
      <c r="H55" s="9"/>
    </row>
    <row r="56" spans="2:8">
      <c r="H56" s="9"/>
    </row>
    <row r="57" spans="2:8">
      <c r="B57" t="s">
        <v>23</v>
      </c>
      <c r="C57" s="13">
        <v>0.02</v>
      </c>
      <c r="H57" s="9"/>
    </row>
    <row r="58" spans="2:8">
      <c r="B58" t="s">
        <v>24</v>
      </c>
      <c r="C58" s="13">
        <v>0.05</v>
      </c>
      <c r="H58" s="9"/>
    </row>
    <row r="59" spans="2:8">
      <c r="H59" s="9"/>
    </row>
    <row r="60" spans="2:8">
      <c r="B60" t="s">
        <v>53</v>
      </c>
      <c r="C60" s="14">
        <f>+C57+C54*C58</f>
        <v>9.5000000000000015E-2</v>
      </c>
      <c r="H60" s="9"/>
    </row>
    <row r="61" spans="2:8">
      <c r="B61" t="s">
        <v>54</v>
      </c>
      <c r="C61" s="14">
        <f>+C60+(C60-C53)*(1-0.3)*C55</f>
        <v>0.12650000000000003</v>
      </c>
      <c r="H61" s="9"/>
    </row>
    <row r="62" spans="2:8">
      <c r="B62" t="s">
        <v>56</v>
      </c>
      <c r="C62" s="14">
        <f>+C55/(C55+1)</f>
        <v>0.5</v>
      </c>
      <c r="H62" s="9"/>
    </row>
    <row r="63" spans="2:8">
      <c r="B63" t="s">
        <v>57</v>
      </c>
      <c r="C63" s="14">
        <f>1-C62</f>
        <v>0.5</v>
      </c>
      <c r="H63" s="9"/>
    </row>
    <row r="64" spans="2:8">
      <c r="B64" t="s">
        <v>55</v>
      </c>
      <c r="C64" s="13">
        <f>+C62*C53*(1-0.3)+C63*C61</f>
        <v>8.0750000000000016E-2</v>
      </c>
      <c r="H64" s="9"/>
    </row>
    <row r="65" spans="1:8">
      <c r="H65" s="9"/>
    </row>
    <row r="66" spans="1:8">
      <c r="B66" s="5" t="s">
        <v>78</v>
      </c>
      <c r="C66" s="6">
        <f>NPV(C64,D51:F51)+C51</f>
        <v>630205.39032235835</v>
      </c>
      <c r="H66" s="9"/>
    </row>
    <row r="67" spans="1:8">
      <c r="H67" s="9"/>
    </row>
    <row r="68" spans="1:8">
      <c r="A68" s="7" t="s">
        <v>4</v>
      </c>
      <c r="B68" t="s">
        <v>25</v>
      </c>
      <c r="C68" s="4">
        <f>NPV(C60,D51:F51)+C51</f>
        <v>588051.69801681512</v>
      </c>
      <c r="H68" s="9">
        <v>1</v>
      </c>
    </row>
    <row r="69" spans="1:8">
      <c r="A69" s="7"/>
      <c r="H69" s="9"/>
    </row>
    <row r="70" spans="1:8">
      <c r="A70" s="7"/>
      <c r="B70" t="s">
        <v>46</v>
      </c>
      <c r="C70" s="1">
        <v>0</v>
      </c>
      <c r="H70" s="9"/>
    </row>
    <row r="71" spans="1:8">
      <c r="A71" s="7"/>
      <c r="C71" s="1"/>
      <c r="H71" s="9"/>
    </row>
    <row r="72" spans="1:8">
      <c r="A72" s="7"/>
      <c r="C72" s="9">
        <v>0</v>
      </c>
      <c r="D72" s="9">
        <v>1</v>
      </c>
      <c r="E72" s="9">
        <v>2</v>
      </c>
      <c r="F72" s="9">
        <v>3</v>
      </c>
      <c r="H72" s="9"/>
    </row>
    <row r="73" spans="1:8">
      <c r="B73" s="35" t="s">
        <v>1</v>
      </c>
      <c r="C73" s="36">
        <v>800000</v>
      </c>
      <c r="D73" s="36"/>
      <c r="E73" s="36"/>
      <c r="F73" s="36">
        <f>-C73</f>
        <v>-800000</v>
      </c>
      <c r="H73" s="9"/>
    </row>
    <row r="74" spans="1:8">
      <c r="B74" s="35" t="s">
        <v>6</v>
      </c>
      <c r="C74" s="36"/>
      <c r="D74" s="36">
        <f>-$C$70*$C$73</f>
        <v>0</v>
      </c>
      <c r="E74" s="36">
        <f>-$C$70*$C$73</f>
        <v>0</v>
      </c>
      <c r="F74" s="36">
        <f>-$C$70*$C$73</f>
        <v>0</v>
      </c>
      <c r="H74" s="9"/>
    </row>
    <row r="75" spans="1:8">
      <c r="B75" s="10" t="s">
        <v>47</v>
      </c>
      <c r="C75" s="11"/>
      <c r="D75" s="11">
        <f>-D74*0.3</f>
        <v>0</v>
      </c>
      <c r="E75" s="11">
        <f t="shared" ref="E75:F75" si="7">-E74*0.3</f>
        <v>0</v>
      </c>
      <c r="F75" s="11">
        <f t="shared" si="7"/>
        <v>0</v>
      </c>
      <c r="H75" s="9"/>
    </row>
    <row r="76" spans="1:8">
      <c r="B76" t="s">
        <v>26</v>
      </c>
      <c r="C76" s="3">
        <f>+SUM(C73:C75)</f>
        <v>800000</v>
      </c>
      <c r="D76" s="3">
        <f t="shared" ref="D76:F76" si="8">+SUM(D73:D75)</f>
        <v>0</v>
      </c>
      <c r="E76" s="3">
        <f t="shared" si="8"/>
        <v>0</v>
      </c>
      <c r="F76" s="3">
        <f t="shared" si="8"/>
        <v>-800000</v>
      </c>
      <c r="H76" s="9"/>
    </row>
    <row r="77" spans="1:8">
      <c r="H77" s="9"/>
    </row>
    <row r="78" spans="1:8">
      <c r="B78" t="s">
        <v>27</v>
      </c>
      <c r="C78" s="4">
        <f>+NPV(C53,D76:F76)+C76</f>
        <v>108929.92117481923</v>
      </c>
      <c r="H78" s="9"/>
    </row>
    <row r="79" spans="1:8">
      <c r="H79" s="9"/>
    </row>
    <row r="80" spans="1:8">
      <c r="B80" s="5" t="s">
        <v>28</v>
      </c>
      <c r="C80" s="6">
        <f>+C78+C68</f>
        <v>696981.61919163435</v>
      </c>
      <c r="H80" s="9"/>
    </row>
    <row r="81" spans="1:8">
      <c r="B81" s="5"/>
      <c r="C81" s="8"/>
      <c r="H81" s="9"/>
    </row>
    <row r="82" spans="1:8" ht="18">
      <c r="A82" s="40" t="s">
        <v>8</v>
      </c>
      <c r="B82" s="12" t="s">
        <v>77</v>
      </c>
      <c r="C82" s="39">
        <f>-800000+400000/C64</f>
        <v>4153560.3715170268</v>
      </c>
      <c r="D82" s="9"/>
      <c r="E82" s="9"/>
      <c r="F82" s="9"/>
      <c r="H82" s="9">
        <v>1</v>
      </c>
    </row>
    <row r="83" spans="1:8" ht="18">
      <c r="B83" s="5" t="s">
        <v>58</v>
      </c>
      <c r="C83" s="29">
        <f>C66*(C64/(1-(1/(1+C64))^3))</f>
        <v>244871.81756631396</v>
      </c>
      <c r="D83" s="34"/>
      <c r="E83" s="34"/>
      <c r="F83" s="34"/>
      <c r="H83" s="9"/>
    </row>
    <row r="84" spans="1:8" ht="18">
      <c r="B84" s="5" t="s">
        <v>59</v>
      </c>
      <c r="C84" s="29">
        <f>+C82*C64</f>
        <v>335400</v>
      </c>
      <c r="D84" s="34"/>
      <c r="E84" s="34"/>
      <c r="F84" s="34"/>
      <c r="H84" s="9"/>
    </row>
    <row r="85" spans="1:8">
      <c r="B85" s="5" t="s">
        <v>72</v>
      </c>
      <c r="C85" s="34"/>
      <c r="D85" s="34"/>
      <c r="E85" s="34"/>
      <c r="F85" s="34"/>
      <c r="H85" s="9"/>
    </row>
    <row r="86" spans="1:8">
      <c r="B86" s="5"/>
      <c r="C86" s="8"/>
      <c r="H86" s="9"/>
    </row>
    <row r="87" spans="1:8">
      <c r="H87" s="9"/>
    </row>
    <row r="88" spans="1:8">
      <c r="A88" s="15">
        <v>4</v>
      </c>
      <c r="B88" s="16"/>
      <c r="C88" s="16"/>
      <c r="D88" s="16"/>
      <c r="E88" s="16"/>
      <c r="F88" s="16"/>
      <c r="H88" s="9"/>
    </row>
    <row r="89" spans="1:8" ht="30">
      <c r="B89" s="20"/>
      <c r="C89" s="21" t="s">
        <v>33</v>
      </c>
      <c r="D89" s="21" t="s">
        <v>34</v>
      </c>
      <c r="E89" s="21" t="s">
        <v>35</v>
      </c>
      <c r="H89" s="9"/>
    </row>
    <row r="90" spans="1:8">
      <c r="B90" s="20" t="s">
        <v>36</v>
      </c>
      <c r="C90" s="22">
        <v>0.15</v>
      </c>
      <c r="D90" s="22">
        <v>0.6</v>
      </c>
      <c r="E90" s="21" t="s">
        <v>37</v>
      </c>
      <c r="H90" s="9"/>
    </row>
    <row r="91" spans="1:8">
      <c r="B91" s="20" t="s">
        <v>38</v>
      </c>
      <c r="C91" s="22">
        <v>0.1</v>
      </c>
      <c r="D91" s="22">
        <v>0.2</v>
      </c>
      <c r="E91" s="21">
        <v>1</v>
      </c>
      <c r="H91" s="9"/>
    </row>
    <row r="92" spans="1:8">
      <c r="B92" s="20" t="s">
        <v>39</v>
      </c>
      <c r="C92" s="22">
        <v>0.03</v>
      </c>
      <c r="D92" s="22">
        <v>0</v>
      </c>
      <c r="E92" s="21">
        <v>0</v>
      </c>
      <c r="H92" s="9"/>
    </row>
    <row r="93" spans="1:8">
      <c r="H93" s="9"/>
    </row>
    <row r="94" spans="1:8">
      <c r="A94" s="7" t="s">
        <v>3</v>
      </c>
      <c r="B94" s="23" t="s">
        <v>40</v>
      </c>
      <c r="C94" s="44">
        <f>+(C90-C92)/(C91-C92)</f>
        <v>1.714285714285714</v>
      </c>
      <c r="H94" s="9">
        <v>1</v>
      </c>
    </row>
    <row r="95" spans="1:8">
      <c r="A95" s="7"/>
      <c r="B95" s="24" t="s">
        <v>41</v>
      </c>
      <c r="C95" s="45">
        <f>0.8*C94+0.2*E92</f>
        <v>1.3714285714285712</v>
      </c>
      <c r="H95" s="9"/>
    </row>
    <row r="96" spans="1:8">
      <c r="A96" s="7"/>
      <c r="B96" s="24" t="s">
        <v>66</v>
      </c>
      <c r="C96" s="46">
        <f>+(C90-C92)/D90</f>
        <v>0.2</v>
      </c>
      <c r="H96" s="9"/>
    </row>
    <row r="97" spans="1:12">
      <c r="H97" s="9"/>
    </row>
    <row r="98" spans="1:12">
      <c r="A98" s="7" t="s">
        <v>4</v>
      </c>
      <c r="B98" s="5" t="s">
        <v>33</v>
      </c>
      <c r="C98" s="18">
        <f>+C92+((C91-C92)/D91)*0.5</f>
        <v>0.20500000000000002</v>
      </c>
      <c r="H98" s="9">
        <v>1</v>
      </c>
    </row>
    <row r="99" spans="1:12">
      <c r="B99" s="5" t="s">
        <v>42</v>
      </c>
      <c r="C99" s="25">
        <f>+(C98-C92)/(C91-C92)</f>
        <v>2.5</v>
      </c>
      <c r="H99" s="9"/>
    </row>
    <row r="100" spans="1:12">
      <c r="B100" s="5" t="s">
        <v>43</v>
      </c>
      <c r="C100" s="25">
        <f>1-C99</f>
        <v>-1.5</v>
      </c>
      <c r="H100" s="9"/>
    </row>
    <row r="101" spans="1:12">
      <c r="H101" s="9"/>
    </row>
    <row r="102" spans="1:12">
      <c r="A102" s="26" t="s">
        <v>8</v>
      </c>
      <c r="B102" s="28" t="s">
        <v>42</v>
      </c>
      <c r="C102" s="19">
        <f>+(C91-C92)/(D91^2*4)</f>
        <v>0.43749999999999994</v>
      </c>
      <c r="D102" s="27"/>
      <c r="E102" s="27"/>
      <c r="F102" s="27"/>
      <c r="H102" s="9">
        <v>1</v>
      </c>
    </row>
    <row r="103" spans="1:12">
      <c r="B103" s="5" t="s">
        <v>43</v>
      </c>
      <c r="C103" s="19">
        <f>1-C102</f>
        <v>0.5625</v>
      </c>
      <c r="H103" s="9"/>
    </row>
    <row r="104" spans="1:12">
      <c r="B104" s="5" t="s">
        <v>33</v>
      </c>
      <c r="C104" s="19">
        <f>+C102*C91+C103*C92</f>
        <v>6.0624999999999998E-2</v>
      </c>
      <c r="H104" s="9"/>
    </row>
    <row r="105" spans="1:12">
      <c r="B105" s="5" t="s">
        <v>34</v>
      </c>
      <c r="C105" s="19">
        <f>+C102*D91</f>
        <v>8.7499999999999994E-2</v>
      </c>
      <c r="H105" s="9"/>
    </row>
    <row r="106" spans="1:12">
      <c r="H106" s="9"/>
    </row>
    <row r="107" spans="1:12">
      <c r="A107" s="26" t="s">
        <v>29</v>
      </c>
      <c r="B107" s="27" t="s">
        <v>67</v>
      </c>
      <c r="C107" s="47">
        <f>(500000/1000000)/0.15</f>
        <v>3.3333333333333335</v>
      </c>
      <c r="D107" s="27"/>
      <c r="E107" s="27"/>
      <c r="F107" s="27"/>
      <c r="H107" s="9"/>
    </row>
    <row r="108" spans="1:12">
      <c r="A108" s="27"/>
      <c r="B108" s="28" t="s">
        <v>68</v>
      </c>
      <c r="C108" s="48">
        <f>(-(300000/1000000)+(300000/1000000)*0.2/0.15)/1.15</f>
        <v>8.6956521739130474E-2</v>
      </c>
      <c r="D108" s="27"/>
      <c r="E108" s="27"/>
      <c r="F108" s="27"/>
      <c r="H108" s="9">
        <v>2</v>
      </c>
    </row>
    <row r="109" spans="1:12">
      <c r="A109" s="27"/>
      <c r="B109" s="28" t="s">
        <v>69</v>
      </c>
      <c r="C109" s="48">
        <f>+C107+C108</f>
        <v>3.4202898550724639</v>
      </c>
      <c r="D109" s="48">
        <f>+(1/1000000)*((500000-300000)+(500000+300000*0.2)/0.15)/1.15</f>
        <v>3.4202898550724639</v>
      </c>
      <c r="F109" s="27"/>
      <c r="H109" s="9"/>
    </row>
    <row r="110" spans="1:12">
      <c r="H110" s="9"/>
      <c r="L110" s="49"/>
    </row>
    <row r="111" spans="1:12">
      <c r="A111" s="15">
        <v>5</v>
      </c>
      <c r="B111" s="16"/>
      <c r="C111" s="16"/>
      <c r="D111" s="16"/>
      <c r="E111" s="16"/>
      <c r="F111" s="16"/>
      <c r="H111" s="9"/>
    </row>
    <row r="112" spans="1:12">
      <c r="H112" s="9"/>
    </row>
    <row r="113" spans="1:9">
      <c r="A113" s="7" t="s">
        <v>3</v>
      </c>
      <c r="B113" s="5" t="s">
        <v>44</v>
      </c>
      <c r="C113" s="6">
        <f>100000*(1-0.25)/0.1</f>
        <v>750000</v>
      </c>
      <c r="H113" s="9">
        <v>1</v>
      </c>
    </row>
    <row r="114" spans="1:9">
      <c r="B114" s="5" t="s">
        <v>73</v>
      </c>
      <c r="C114" s="6">
        <f>+C113/1000000</f>
        <v>0.75</v>
      </c>
      <c r="H114" s="9"/>
    </row>
    <row r="115" spans="1:9">
      <c r="H115" s="9"/>
    </row>
    <row r="116" spans="1:9">
      <c r="A116" s="7" t="s">
        <v>4</v>
      </c>
      <c r="B116" s="12" t="s">
        <v>70</v>
      </c>
      <c r="C116" s="4">
        <f>500000*0.25</f>
        <v>125000</v>
      </c>
      <c r="H116" s="9">
        <v>1</v>
      </c>
    </row>
    <row r="117" spans="1:9">
      <c r="B117" s="5" t="s">
        <v>45</v>
      </c>
      <c r="C117" s="6">
        <v>500000</v>
      </c>
      <c r="H117" s="9"/>
    </row>
    <row r="118" spans="1:9">
      <c r="B118" s="5" t="s">
        <v>44</v>
      </c>
      <c r="C118" s="6">
        <f>+C113+C116-C117</f>
        <v>375000</v>
      </c>
      <c r="H118" s="9"/>
    </row>
    <row r="119" spans="1:9">
      <c r="B119" s="5" t="s">
        <v>73</v>
      </c>
      <c r="C119" s="50">
        <f>+(C113+C116)/1000000</f>
        <v>0.875</v>
      </c>
      <c r="D119" s="45">
        <f>+C118/(1000000-C117/C119)</f>
        <v>0.87500000000000011</v>
      </c>
      <c r="H119" s="9"/>
    </row>
    <row r="120" spans="1:9">
      <c r="H120" s="9"/>
    </row>
    <row r="121" spans="1:9">
      <c r="A121" s="40" t="s">
        <v>8</v>
      </c>
      <c r="B121" s="12" t="s">
        <v>74</v>
      </c>
      <c r="C121" s="14">
        <f>0.1+(0.1-0.08)*(1-0.25)*C117/C118</f>
        <v>0.12000000000000001</v>
      </c>
      <c r="H121" s="9">
        <v>2</v>
      </c>
    </row>
    <row r="122" spans="1:9">
      <c r="B122" s="5" t="s">
        <v>75</v>
      </c>
      <c r="C122" s="51">
        <f>+C117/(C117+C118)*0.08*(1-0.25)+C118/(C117+C118)*C121</f>
        <v>8.5714285714285715E-2</v>
      </c>
    </row>
    <row r="123" spans="1:9">
      <c r="H123" s="9"/>
    </row>
    <row r="124" spans="1:9">
      <c r="H124" s="52">
        <f>+SUM(H1:H123)</f>
        <v>20</v>
      </c>
      <c r="I124" s="28" t="s">
        <v>71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mferreira</cp:lastModifiedBy>
  <dcterms:created xsi:type="dcterms:W3CDTF">2010-05-21T13:12:31Z</dcterms:created>
  <dcterms:modified xsi:type="dcterms:W3CDTF">2010-11-25T11:34:38Z</dcterms:modified>
</cp:coreProperties>
</file>